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8_{72F91528-5FD6-471F-9E9E-9E373DA02F55}" xr6:coauthVersionLast="47" xr6:coauthVersionMax="47" xr10:uidLastSave="{00000000-0000-0000-0000-000000000000}"/>
  <bookViews>
    <workbookView xWindow="29460" yWindow="900" windowWidth="21600" windowHeight="11295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2" l="1"/>
  <c r="J21" i="2"/>
  <c r="J20" i="2"/>
  <c r="J19" i="2"/>
  <c r="J18" i="2"/>
  <c r="J17" i="2"/>
  <c r="J16" i="2"/>
  <c r="J15" i="2"/>
  <c r="J14" i="2"/>
  <c r="J13" i="2"/>
  <c r="J12" i="2"/>
  <c r="J11" i="2"/>
  <c r="C14" i="2" l="1"/>
  <c r="P10" i="2"/>
  <c r="K11" i="2" l="1"/>
  <c r="P11" i="2" l="1"/>
  <c r="L11" i="2"/>
  <c r="O11" i="2" s="1"/>
  <c r="K12" i="2"/>
  <c r="L12" i="2" l="1"/>
  <c r="O12" i="2" s="1"/>
  <c r="P12" i="2"/>
  <c r="K13" i="2"/>
  <c r="L13" i="2" l="1"/>
  <c r="O13" i="2" s="1"/>
  <c r="P13" i="2"/>
  <c r="K14" i="2"/>
  <c r="L14" i="2" l="1"/>
  <c r="O14" i="2" s="1"/>
  <c r="P14" i="2"/>
  <c r="K15" i="2"/>
  <c r="L15" i="2" l="1"/>
  <c r="N15" i="2"/>
  <c r="P15" i="2"/>
  <c r="K16" i="2"/>
  <c r="O15" i="2" l="1"/>
  <c r="L16" i="2"/>
  <c r="N16" i="2"/>
  <c r="P16" i="2"/>
  <c r="K17" i="2"/>
  <c r="O16" i="2" l="1"/>
  <c r="L17" i="2"/>
  <c r="P17" i="2"/>
  <c r="N17" i="2"/>
  <c r="K18" i="2"/>
  <c r="O17" i="2" l="1"/>
  <c r="P18" i="2"/>
  <c r="L18" i="2"/>
  <c r="N18" i="2"/>
  <c r="K19" i="2"/>
  <c r="O18" i="2" l="1"/>
  <c r="P19" i="2"/>
  <c r="L19" i="2"/>
  <c r="N19" i="2"/>
  <c r="K20" i="2"/>
  <c r="O19" i="2" l="1"/>
  <c r="N20" i="2"/>
  <c r="P20" i="2"/>
  <c r="L20" i="2"/>
  <c r="O20" i="2" s="1"/>
  <c r="K21" i="2"/>
  <c r="N21" i="2" s="1"/>
  <c r="P21" i="2" l="1"/>
  <c r="L21" i="2"/>
  <c r="O21" i="2" s="1"/>
  <c r="P22" i="2" l="1"/>
  <c r="L22" i="2" l="1"/>
  <c r="C29" i="2" l="1"/>
  <c r="O22" i="2"/>
  <c r="N22" i="2" l="1"/>
  <c r="C27" i="2" s="1"/>
  <c r="C31" i="2" s="1"/>
  <c r="C34" i="2" s="1"/>
  <c r="C37" i="2" l="1"/>
</calcChain>
</file>

<file path=xl/sharedStrings.xml><?xml version="1.0" encoding="utf-8"?>
<sst xmlns="http://schemas.openxmlformats.org/spreadsheetml/2006/main" count="51" uniqueCount="48">
  <si>
    <t>Full Taxes no PILOT</t>
  </si>
  <si>
    <t>Total PILOT Payments</t>
  </si>
  <si>
    <t>Estimated Real Estate Tax Savings</t>
  </si>
  <si>
    <t>Estimated Mortgages Tax Savings</t>
  </si>
  <si>
    <t>Estimated Sales Tax Savings</t>
  </si>
  <si>
    <t>Estimated Financial Assistance</t>
  </si>
  <si>
    <t>Year</t>
  </si>
  <si>
    <t>Est. Mill Rate</t>
  </si>
  <si>
    <t>Total Project Costs</t>
  </si>
  <si>
    <t>Amount Subject to Sales Tax</t>
  </si>
  <si>
    <t>Amount Subject to Mortgage Recording Tax</t>
  </si>
  <si>
    <t>Total Benefits Provided</t>
  </si>
  <si>
    <t>Jobs Created</t>
  </si>
  <si>
    <t>Assumed Assessed Value</t>
  </si>
  <si>
    <t>Value</t>
  </si>
  <si>
    <t>Assessment</t>
  </si>
  <si>
    <t xml:space="preserve">PILOT </t>
  </si>
  <si>
    <t>IDA Administrative Fee</t>
  </si>
  <si>
    <t>Note:</t>
  </si>
  <si>
    <t>Base</t>
  </si>
  <si>
    <t>Estimated</t>
  </si>
  <si>
    <t>Full</t>
  </si>
  <si>
    <t>Taxes</t>
  </si>
  <si>
    <t xml:space="preserve">Estimated </t>
  </si>
  <si>
    <t>The community is in dire need of year-round housing which this project provides 2 units.</t>
  </si>
  <si>
    <t>Town Tax Rate/$1000</t>
  </si>
  <si>
    <t>County Tax Rate/$1000</t>
  </si>
  <si>
    <t>Village Tax Rate/$1000</t>
  </si>
  <si>
    <t>School Tax Rate/$1000</t>
  </si>
  <si>
    <t xml:space="preserve">Financial </t>
  </si>
  <si>
    <t xml:space="preserve"> Assistance</t>
  </si>
  <si>
    <t>Project</t>
  </si>
  <si>
    <t xml:space="preserve">Taxes If No </t>
  </si>
  <si>
    <t>Abatement</t>
  </si>
  <si>
    <t>Abatment</t>
  </si>
  <si>
    <t xml:space="preserve">Percent   </t>
  </si>
  <si>
    <t xml:space="preserve">on </t>
  </si>
  <si>
    <t xml:space="preserve">Investment </t>
  </si>
  <si>
    <t>Post</t>
  </si>
  <si>
    <t>Improvement</t>
  </si>
  <si>
    <t>No Pilot</t>
  </si>
  <si>
    <t>Haentges Holdings LLC</t>
  </si>
  <si>
    <t>PILOT</t>
  </si>
  <si>
    <t xml:space="preserve">Operating </t>
  </si>
  <si>
    <t>Construction</t>
  </si>
  <si>
    <t>Frozen</t>
  </si>
  <si>
    <t>5 Perm. 30 Construction</t>
  </si>
  <si>
    <t>This project is located in the New York Forward area and Empire Zone.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</si>
</sst>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_(&quot;$&quot;* #,##0_);_(&quot;$&quot;* \(#,##0\);_(&quot;$&quot;* &quot;-&quot;??_);_(@_)"/>
  </numFmts>
  <fonts count="5" x14ac:knownFonts="1">
    <font>
      <sz val="10"/>
      <name val="Arial"/>
    </font>
    <font>
      <b/>
      <sz val="12"/>
      <name val="Arial"/>
      <family val="2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/>
    <xf numFmtId="0" fontId="3" fillId="0" borderId="1" xfId="0" applyFont="1" applyBorder="1"/>
    <xf numFmtId="165" fontId="3" fillId="0" borderId="1" xfId="0" applyNumberFormat="1" applyFont="1" applyBorder="1"/>
    <xf numFmtId="165" fontId="3" fillId="0" borderId="1" xfId="0" applyNumberFormat="1" applyFont="1" applyBorder="1" applyAlignment="1">
      <alignment horizontal="right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165" fontId="3" fillId="0" borderId="0" xfId="0" applyNumberFormat="1" applyFont="1"/>
    <xf numFmtId="166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2" applyNumberFormat="1" applyFont="1" applyAlignment="1">
      <alignment horizontal="center"/>
    </xf>
    <xf numFmtId="166" fontId="3" fillId="0" borderId="0" xfId="1" applyNumberFormat="1" applyFont="1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 applyAlignment="1">
      <alignment horizontal="left"/>
    </xf>
    <xf numFmtId="44" fontId="3" fillId="0" borderId="1" xfId="1" applyFont="1" applyFill="1" applyBorder="1" applyAlignment="1">
      <alignment horizontal="left"/>
    </xf>
    <xf numFmtId="44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4"/>
  <sheetViews>
    <sheetView tabSelected="1" zoomScaleNormal="100" workbookViewId="0">
      <selection activeCell="N29" sqref="N29"/>
    </sheetView>
  </sheetViews>
  <sheetFormatPr defaultRowHeight="12.75" x14ac:dyDescent="0.2"/>
  <cols>
    <col min="1" max="1" width="9.140625" style="2"/>
    <col min="2" max="2" width="42.85546875" style="2" customWidth="1"/>
    <col min="3" max="3" width="23.140625" style="2" customWidth="1"/>
    <col min="4" max="4" width="2.28515625" style="2" customWidth="1"/>
    <col min="5" max="5" width="9.85546875" style="2" customWidth="1"/>
    <col min="6" max="6" width="10" style="2" customWidth="1"/>
    <col min="7" max="7" width="1.85546875" style="2" customWidth="1"/>
    <col min="8" max="8" width="14.28515625" style="2" customWidth="1"/>
    <col min="9" max="9" width="13.7109375" style="2" customWidth="1"/>
    <col min="10" max="10" width="16" style="3" customWidth="1"/>
    <col min="11" max="11" width="13.28515625" style="3" bestFit="1" customWidth="1"/>
    <col min="12" max="13" width="11.42578125" style="3" customWidth="1"/>
    <col min="14" max="14" width="13.28515625" style="3" bestFit="1" customWidth="1"/>
    <col min="15" max="16" width="11.28515625" style="2" bestFit="1" customWidth="1"/>
    <col min="17" max="16384" width="9.140625" style="2"/>
  </cols>
  <sheetData>
    <row r="1" spans="2:16" ht="15.75" x14ac:dyDescent="0.25">
      <c r="B1" s="1" t="s">
        <v>41</v>
      </c>
    </row>
    <row r="3" spans="2:16" x14ac:dyDescent="0.2">
      <c r="B3" s="7" t="s">
        <v>8</v>
      </c>
      <c r="C3" s="8">
        <v>1980000</v>
      </c>
    </row>
    <row r="4" spans="2:16" x14ac:dyDescent="0.2">
      <c r="B4" s="7" t="s">
        <v>9</v>
      </c>
      <c r="C4" s="8">
        <v>767047</v>
      </c>
    </row>
    <row r="5" spans="2:16" x14ac:dyDescent="0.2">
      <c r="B5" s="7" t="s">
        <v>10</v>
      </c>
      <c r="C5" s="9">
        <v>1807700</v>
      </c>
      <c r="E5" s="10"/>
    </row>
    <row r="6" spans="2:16" x14ac:dyDescent="0.2">
      <c r="B6" s="7" t="s">
        <v>13</v>
      </c>
      <c r="C6" s="8">
        <v>1300000</v>
      </c>
      <c r="I6" s="3" t="s">
        <v>38</v>
      </c>
      <c r="L6" s="3" t="s">
        <v>40</v>
      </c>
      <c r="M6" s="3" t="s">
        <v>35</v>
      </c>
    </row>
    <row r="7" spans="2:16" x14ac:dyDescent="0.2">
      <c r="H7" s="3">
        <v>2025</v>
      </c>
      <c r="I7" s="3" t="s">
        <v>39</v>
      </c>
      <c r="J7" s="3" t="s">
        <v>16</v>
      </c>
      <c r="L7" s="3" t="s">
        <v>23</v>
      </c>
      <c r="M7" s="3" t="s">
        <v>33</v>
      </c>
      <c r="O7" s="2" t="s">
        <v>29</v>
      </c>
      <c r="P7" s="2" t="s">
        <v>32</v>
      </c>
    </row>
    <row r="8" spans="2:16" x14ac:dyDescent="0.2">
      <c r="B8" s="7"/>
      <c r="C8" s="7"/>
      <c r="E8" s="3" t="s">
        <v>42</v>
      </c>
      <c r="F8" s="22" t="s">
        <v>43</v>
      </c>
      <c r="G8" s="3"/>
      <c r="H8" s="3" t="s">
        <v>19</v>
      </c>
      <c r="I8" s="3" t="s">
        <v>20</v>
      </c>
      <c r="J8" s="3" t="s">
        <v>34</v>
      </c>
      <c r="L8" s="3" t="s">
        <v>21</v>
      </c>
      <c r="M8" s="3" t="s">
        <v>36</v>
      </c>
      <c r="N8" s="3" t="s">
        <v>16</v>
      </c>
      <c r="O8" s="2" t="s">
        <v>30</v>
      </c>
      <c r="P8" s="2" t="s">
        <v>31</v>
      </c>
    </row>
    <row r="9" spans="2:16" x14ac:dyDescent="0.2">
      <c r="B9" s="11">
        <v>2025</v>
      </c>
      <c r="E9" s="4" t="s">
        <v>6</v>
      </c>
      <c r="F9" s="4" t="s">
        <v>6</v>
      </c>
      <c r="G9" s="4"/>
      <c r="H9" s="4" t="s">
        <v>15</v>
      </c>
      <c r="I9" s="4" t="s">
        <v>15</v>
      </c>
      <c r="J9" s="4" t="s">
        <v>14</v>
      </c>
      <c r="K9" s="4" t="s">
        <v>7</v>
      </c>
      <c r="L9" s="4" t="s">
        <v>22</v>
      </c>
      <c r="M9" s="4" t="s">
        <v>37</v>
      </c>
      <c r="N9" s="4"/>
    </row>
    <row r="10" spans="2:16" x14ac:dyDescent="0.2">
      <c r="B10" s="2" t="s">
        <v>26</v>
      </c>
      <c r="C10" s="2">
        <v>4.5123699999999998</v>
      </c>
      <c r="E10" s="3">
        <v>1</v>
      </c>
      <c r="F10" s="12" t="s">
        <v>44</v>
      </c>
      <c r="G10" s="13"/>
      <c r="H10" s="12">
        <v>40000</v>
      </c>
      <c r="I10" s="12" t="s">
        <v>45</v>
      </c>
      <c r="J10" s="5"/>
      <c r="K10" s="14">
        <v>26.204968000000001</v>
      </c>
      <c r="L10" s="5"/>
      <c r="M10" s="15">
        <v>100</v>
      </c>
      <c r="N10" s="5"/>
      <c r="O10" s="16"/>
      <c r="P10" s="16">
        <f>SUM(H10*K10/1000)</f>
        <v>1048.1987200000001</v>
      </c>
    </row>
    <row r="11" spans="2:16" x14ac:dyDescent="0.2">
      <c r="B11" s="2" t="s">
        <v>25</v>
      </c>
      <c r="C11" s="2">
        <v>2.3877389999999998</v>
      </c>
      <c r="E11" s="3">
        <v>2</v>
      </c>
      <c r="F11" s="23">
        <v>1</v>
      </c>
      <c r="G11" s="13"/>
      <c r="H11" s="12">
        <v>40000</v>
      </c>
      <c r="I11" s="12">
        <v>1300000</v>
      </c>
      <c r="J11" s="5">
        <f t="shared" ref="J11:J21" si="0">SUM(I11-H11)</f>
        <v>1260000</v>
      </c>
      <c r="K11" s="14">
        <f>K10*1.02</f>
        <v>26.729067360000002</v>
      </c>
      <c r="L11" s="5">
        <f t="shared" ref="L11:L21" si="1">(I11)*K11/1000</f>
        <v>34747.787568000007</v>
      </c>
      <c r="M11" s="15">
        <v>100</v>
      </c>
      <c r="N11" s="5">
        <v>1069</v>
      </c>
      <c r="O11" s="16">
        <f t="shared" ref="O11:O21" si="2">SUM(L11-N11)</f>
        <v>33678.787568000007</v>
      </c>
      <c r="P11" s="16">
        <f>SUM(H10*K11/1000)</f>
        <v>1069.1626944000002</v>
      </c>
    </row>
    <row r="12" spans="2:16" x14ac:dyDescent="0.2">
      <c r="B12" s="2" t="s">
        <v>27</v>
      </c>
      <c r="C12" s="2">
        <v>9.7902369999999994</v>
      </c>
      <c r="E12" s="3">
        <v>3</v>
      </c>
      <c r="F12" s="23">
        <v>2</v>
      </c>
      <c r="G12" s="13"/>
      <c r="H12" s="12">
        <v>40000</v>
      </c>
      <c r="I12" s="12">
        <v>1300000</v>
      </c>
      <c r="J12" s="5">
        <f t="shared" si="0"/>
        <v>1260000</v>
      </c>
      <c r="K12" s="14">
        <f t="shared" ref="K12:K21" si="3">K11*1.02</f>
        <v>27.263648707200002</v>
      </c>
      <c r="L12" s="5">
        <f t="shared" si="1"/>
        <v>35442.743319360001</v>
      </c>
      <c r="M12" s="15">
        <v>100</v>
      </c>
      <c r="N12" s="5">
        <v>1091</v>
      </c>
      <c r="O12" s="16">
        <f t="shared" si="2"/>
        <v>34351.743319360001</v>
      </c>
      <c r="P12" s="16">
        <f>SUM(H10*K12/1000)</f>
        <v>1090.5459482879999</v>
      </c>
    </row>
    <row r="13" spans="2:16" x14ac:dyDescent="0.2">
      <c r="B13" s="2" t="s">
        <v>28</v>
      </c>
      <c r="C13" s="7">
        <v>9.5146219999999992</v>
      </c>
      <c r="E13" s="3">
        <v>4</v>
      </c>
      <c r="F13" s="23">
        <v>3</v>
      </c>
      <c r="G13" s="13"/>
      <c r="H13" s="12">
        <v>40000</v>
      </c>
      <c r="I13" s="12">
        <v>1300000</v>
      </c>
      <c r="J13" s="5">
        <f t="shared" si="0"/>
        <v>1260000</v>
      </c>
      <c r="K13" s="14">
        <f t="shared" si="3"/>
        <v>27.808921681344003</v>
      </c>
      <c r="L13" s="5">
        <f t="shared" si="1"/>
        <v>36151.598185747207</v>
      </c>
      <c r="M13" s="15">
        <v>100</v>
      </c>
      <c r="N13" s="5">
        <v>1112</v>
      </c>
      <c r="O13" s="16">
        <f t="shared" si="2"/>
        <v>35039.598185747207</v>
      </c>
      <c r="P13" s="16">
        <f>SUM(H10*K13/1000)</f>
        <v>1112.3568672537601</v>
      </c>
    </row>
    <row r="14" spans="2:16" x14ac:dyDescent="0.2">
      <c r="C14" s="2">
        <f>SUM(C10:C13)</f>
        <v>26.204967999999997</v>
      </c>
      <c r="E14" s="3">
        <v>5</v>
      </c>
      <c r="F14" s="23">
        <v>4</v>
      </c>
      <c r="G14" s="13"/>
      <c r="H14" s="12">
        <v>40000</v>
      </c>
      <c r="I14" s="12">
        <v>1300000</v>
      </c>
      <c r="J14" s="5">
        <f t="shared" si="0"/>
        <v>1260000</v>
      </c>
      <c r="K14" s="14">
        <f t="shared" si="3"/>
        <v>28.365100114970883</v>
      </c>
      <c r="L14" s="5">
        <f t="shared" si="1"/>
        <v>36874.630149462151</v>
      </c>
      <c r="M14" s="15">
        <v>100</v>
      </c>
      <c r="N14" s="5">
        <v>1135</v>
      </c>
      <c r="O14" s="16">
        <f t="shared" si="2"/>
        <v>35739.630149462151</v>
      </c>
      <c r="P14" s="16">
        <f>SUM(H10*K14/1000)</f>
        <v>1134.6040045988352</v>
      </c>
    </row>
    <row r="15" spans="2:16" x14ac:dyDescent="0.2">
      <c r="E15" s="3">
        <v>6</v>
      </c>
      <c r="F15" s="23">
        <v>5</v>
      </c>
      <c r="G15" s="13"/>
      <c r="H15" s="12">
        <v>40000</v>
      </c>
      <c r="I15" s="12">
        <v>1300000</v>
      </c>
      <c r="J15" s="5">
        <f t="shared" si="0"/>
        <v>1260000</v>
      </c>
      <c r="K15" s="14">
        <f t="shared" si="3"/>
        <v>28.9324021172703</v>
      </c>
      <c r="L15" s="5">
        <f t="shared" si="1"/>
        <v>37612.122752451389</v>
      </c>
      <c r="M15" s="15">
        <v>90</v>
      </c>
      <c r="N15" s="5">
        <f>SUM(H10*K15/1000)+(J15*10%)*K15/1000</f>
        <v>4802.7787514668698</v>
      </c>
      <c r="O15" s="16">
        <f t="shared" si="2"/>
        <v>32809.344000984522</v>
      </c>
      <c r="P15" s="16">
        <f>SUM(H10*K15/1000)</f>
        <v>1157.296084690812</v>
      </c>
    </row>
    <row r="16" spans="2:16" x14ac:dyDescent="0.2">
      <c r="E16" s="3">
        <v>7</v>
      </c>
      <c r="F16" s="23">
        <v>6</v>
      </c>
      <c r="G16" s="13"/>
      <c r="H16" s="12">
        <v>40000</v>
      </c>
      <c r="I16" s="12">
        <v>1300000</v>
      </c>
      <c r="J16" s="5">
        <f t="shared" si="0"/>
        <v>1260000</v>
      </c>
      <c r="K16" s="14">
        <f t="shared" si="3"/>
        <v>29.511050159615706</v>
      </c>
      <c r="L16" s="5">
        <f t="shared" si="1"/>
        <v>38364.365207500421</v>
      </c>
      <c r="M16" s="15">
        <v>80</v>
      </c>
      <c r="N16" s="5">
        <f>SUM(H10*K16/1000)+(J16*20%)*K16/1000</f>
        <v>8617.2266466077854</v>
      </c>
      <c r="O16" s="16">
        <f t="shared" si="2"/>
        <v>29747.138560892636</v>
      </c>
      <c r="P16" s="16">
        <f>SUM(H10*K16/1000)</f>
        <v>1180.4420063846283</v>
      </c>
    </row>
    <row r="17" spans="2:16" x14ac:dyDescent="0.2">
      <c r="E17" s="3">
        <v>8</v>
      </c>
      <c r="F17" s="23">
        <v>7</v>
      </c>
      <c r="G17" s="13"/>
      <c r="H17" s="12">
        <v>40000</v>
      </c>
      <c r="I17" s="12">
        <v>1300000</v>
      </c>
      <c r="J17" s="5">
        <f t="shared" si="0"/>
        <v>1260000</v>
      </c>
      <c r="K17" s="14">
        <f t="shared" si="3"/>
        <v>30.101271162808022</v>
      </c>
      <c r="L17" s="5">
        <f t="shared" si="1"/>
        <v>39131.652511650427</v>
      </c>
      <c r="M17" s="15">
        <v>70</v>
      </c>
      <c r="N17" s="5">
        <f>SUM(H10*K17/1000)+(J17*30%)*K17/1000</f>
        <v>12582.331346053752</v>
      </c>
      <c r="O17" s="16">
        <f t="shared" si="2"/>
        <v>26549.321165596673</v>
      </c>
      <c r="P17" s="16">
        <f>SUM(H10*K17/1000)</f>
        <v>1204.050846512321</v>
      </c>
    </row>
    <row r="18" spans="2:16" x14ac:dyDescent="0.2">
      <c r="E18" s="3">
        <v>9</v>
      </c>
      <c r="F18" s="23">
        <v>8</v>
      </c>
      <c r="G18" s="13"/>
      <c r="H18" s="12">
        <v>40000</v>
      </c>
      <c r="I18" s="12">
        <v>1300000</v>
      </c>
      <c r="J18" s="5">
        <f t="shared" si="0"/>
        <v>1260000</v>
      </c>
      <c r="K18" s="14">
        <f t="shared" si="3"/>
        <v>30.703296586064184</v>
      </c>
      <c r="L18" s="5">
        <f t="shared" si="1"/>
        <v>39914.285561883444</v>
      </c>
      <c r="M18" s="15">
        <v>60</v>
      </c>
      <c r="N18" s="5">
        <f>SUM(H10*K18/1000)+(J18*40%)*K18/1000</f>
        <v>16702.593342818916</v>
      </c>
      <c r="O18" s="16">
        <f t="shared" si="2"/>
        <v>23211.692219064527</v>
      </c>
      <c r="P18" s="16">
        <f>SUM(H10*K18/1000)</f>
        <v>1228.1318634425675</v>
      </c>
    </row>
    <row r="19" spans="2:16" ht="18" x14ac:dyDescent="0.25">
      <c r="B19" s="21"/>
      <c r="E19" s="3">
        <v>10</v>
      </c>
      <c r="F19" s="23">
        <v>9</v>
      </c>
      <c r="G19" s="13"/>
      <c r="H19" s="12">
        <v>40000</v>
      </c>
      <c r="I19" s="12">
        <v>1300000</v>
      </c>
      <c r="J19" s="5">
        <f t="shared" si="0"/>
        <v>1260000</v>
      </c>
      <c r="K19" s="14">
        <f t="shared" si="3"/>
        <v>31.317362517785469</v>
      </c>
      <c r="L19" s="5">
        <f t="shared" si="1"/>
        <v>40712.57127312111</v>
      </c>
      <c r="M19" s="15">
        <v>50</v>
      </c>
      <c r="N19" s="5">
        <f>SUM(H10*K19/1000)+(J19*50%)*K19/1000</f>
        <v>20982.632886916264</v>
      </c>
      <c r="O19" s="16">
        <f t="shared" si="2"/>
        <v>19729.938386204845</v>
      </c>
      <c r="P19" s="16">
        <f>SUM(H10*K19/1000)</f>
        <v>1252.6945007114186</v>
      </c>
    </row>
    <row r="20" spans="2:16" ht="18" x14ac:dyDescent="0.25">
      <c r="B20" s="21"/>
      <c r="E20" s="3">
        <v>11</v>
      </c>
      <c r="F20" s="23">
        <v>10</v>
      </c>
      <c r="G20" s="3"/>
      <c r="H20" s="12">
        <v>40000</v>
      </c>
      <c r="I20" s="12">
        <v>1300000</v>
      </c>
      <c r="J20" s="5">
        <f t="shared" si="0"/>
        <v>1260000</v>
      </c>
      <c r="K20" s="14">
        <f t="shared" si="3"/>
        <v>31.943709768141179</v>
      </c>
      <c r="L20" s="5">
        <f t="shared" si="1"/>
        <v>41526.822698583535</v>
      </c>
      <c r="M20" s="15">
        <v>40</v>
      </c>
      <c r="N20" s="5">
        <f>SUM(H10*K20/1000)+(J20*60%)*K20/1000</f>
        <v>25427.192975440379</v>
      </c>
      <c r="O20" s="16">
        <f t="shared" si="2"/>
        <v>16099.629723143156</v>
      </c>
      <c r="P20" s="16">
        <f>SUM(H10*K20/1000)</f>
        <v>1277.7483907256471</v>
      </c>
    </row>
    <row r="21" spans="2:16" x14ac:dyDescent="0.2">
      <c r="E21" s="3">
        <v>12</v>
      </c>
      <c r="F21" s="23">
        <v>11</v>
      </c>
      <c r="G21" s="3"/>
      <c r="H21" s="12">
        <v>40000</v>
      </c>
      <c r="I21" s="12">
        <v>1300000</v>
      </c>
      <c r="J21" s="5">
        <f t="shared" si="0"/>
        <v>1260000</v>
      </c>
      <c r="K21" s="14">
        <f t="shared" si="3"/>
        <v>32.582583963504007</v>
      </c>
      <c r="L21" s="5">
        <f t="shared" si="1"/>
        <v>42357.359152555211</v>
      </c>
      <c r="M21" s="15">
        <v>20</v>
      </c>
      <c r="N21" s="5">
        <f>SUM(H10*K21/1000)+(J21*80%)*K21/1000</f>
        <v>34146.547993752196</v>
      </c>
      <c r="O21" s="16">
        <f t="shared" si="2"/>
        <v>8210.8111588030151</v>
      </c>
      <c r="P21" s="16">
        <f>SUM(H10*K21/1000)</f>
        <v>1303.3033585401604</v>
      </c>
    </row>
    <row r="22" spans="2:16" x14ac:dyDescent="0.2">
      <c r="H22" s="12"/>
      <c r="J22" s="5"/>
      <c r="L22" s="5">
        <f>SUM(L10:L21)</f>
        <v>422835.93838031497</v>
      </c>
      <c r="M22" s="5"/>
      <c r="N22" s="5">
        <f>SUM(N10:N21)</f>
        <v>127668.30394305618</v>
      </c>
      <c r="O22" s="6">
        <f>SUM(O10:O21)</f>
        <v>295167.63443725876</v>
      </c>
      <c r="P22" s="6">
        <f>SUM(P10:P21)</f>
        <v>14058.535285548151</v>
      </c>
    </row>
    <row r="23" spans="2:16" x14ac:dyDescent="0.2">
      <c r="E23" s="12"/>
    </row>
    <row r="24" spans="2:16" x14ac:dyDescent="0.2">
      <c r="E24" s="10"/>
    </row>
    <row r="27" spans="2:16" x14ac:dyDescent="0.2">
      <c r="B27" s="17" t="s">
        <v>1</v>
      </c>
      <c r="C27" s="18">
        <f>N22</f>
        <v>127668.30394305618</v>
      </c>
    </row>
    <row r="28" spans="2:16" x14ac:dyDescent="0.2">
      <c r="B28" s="17"/>
      <c r="C28" s="18"/>
    </row>
    <row r="29" spans="2:16" x14ac:dyDescent="0.2">
      <c r="B29" s="17" t="s">
        <v>0</v>
      </c>
      <c r="C29" s="18">
        <f>L22</f>
        <v>422835.93838031497</v>
      </c>
    </row>
    <row r="30" spans="2:16" x14ac:dyDescent="0.2">
      <c r="B30" s="11"/>
      <c r="C30" s="11"/>
    </row>
    <row r="31" spans="2:16" x14ac:dyDescent="0.2">
      <c r="B31" s="17" t="s">
        <v>2</v>
      </c>
      <c r="C31" s="19">
        <f>C29-C27-C28</f>
        <v>295167.63443725882</v>
      </c>
    </row>
    <row r="32" spans="2:16" x14ac:dyDescent="0.2">
      <c r="B32" s="17" t="s">
        <v>3</v>
      </c>
      <c r="C32" s="19">
        <v>18077</v>
      </c>
    </row>
    <row r="33" spans="2:3" x14ac:dyDescent="0.2">
      <c r="B33" s="17" t="s">
        <v>4</v>
      </c>
      <c r="C33" s="19">
        <f>C4*0.08</f>
        <v>61363.76</v>
      </c>
    </row>
    <row r="34" spans="2:3" x14ac:dyDescent="0.2">
      <c r="B34" s="17" t="s">
        <v>5</v>
      </c>
      <c r="C34" s="19">
        <f>SUM(C31:C33)</f>
        <v>374608.39443725883</v>
      </c>
    </row>
    <row r="35" spans="2:3" x14ac:dyDescent="0.2">
      <c r="B35" s="17" t="s">
        <v>17</v>
      </c>
      <c r="C35" s="19">
        <v>27012</v>
      </c>
    </row>
    <row r="36" spans="2:3" x14ac:dyDescent="0.2">
      <c r="C36" s="20"/>
    </row>
    <row r="37" spans="2:3" x14ac:dyDescent="0.2">
      <c r="B37" s="17" t="s">
        <v>11</v>
      </c>
      <c r="C37" s="18">
        <f>C34+C36</f>
        <v>374608.39443725883</v>
      </c>
    </row>
    <row r="39" spans="2:3" x14ac:dyDescent="0.2">
      <c r="B39" s="17" t="s">
        <v>12</v>
      </c>
      <c r="C39" s="4" t="s">
        <v>46</v>
      </c>
    </row>
    <row r="41" spans="2:3" x14ac:dyDescent="0.2">
      <c r="B41" s="2" t="s">
        <v>18</v>
      </c>
    </row>
    <row r="43" spans="2:3" x14ac:dyDescent="0.2">
      <c r="B43" s="2" t="s">
        <v>24</v>
      </c>
    </row>
    <row r="44" spans="2:3" x14ac:dyDescent="0.2">
      <c r="B44" s="2" t="s">
        <v>47</v>
      </c>
    </row>
  </sheetData>
  <pageMargins left="0.7" right="0.7" top="0.75" bottom="0.75" header="0.3" footer="0.3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2018-08-08T18:54:00Z</dcterms:created>
  <dcterms:modified xsi:type="dcterms:W3CDTF">2025-08-13T17:50:31Z</dcterms:modified>
</cp:coreProperties>
</file>